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8C8F57AD86344/Desktop/00493-320522255/Users/Lynn Holec/Documents/Rotary/District/Audits/FY 2024/"/>
    </mc:Choice>
  </mc:AlternateContent>
  <xr:revisionPtr revIDLastSave="140" documentId="14_{225AA435-A338-4CD8-AE30-BF2C3C900472}" xr6:coauthVersionLast="47" xr6:coauthVersionMax="47" xr10:uidLastSave="{CFF08156-48CF-4CF9-96F5-72AF38513D43}"/>
  <bookViews>
    <workbookView xWindow="22932" yWindow="-108" windowWidth="20376" windowHeight="12096" xr2:uid="{B063D3F7-99CD-498A-9989-4204C1AA3A51}"/>
  </bookViews>
  <sheets>
    <sheet name="State of Act incl DDF and Adj" sheetId="1" r:id="rId1"/>
  </sheets>
  <definedNames>
    <definedName name="_xlnm.Print_Area" localSheetId="0">'State of Act incl DDF and Adj'!$A$1:$H$150</definedName>
    <definedName name="_xlnm.Print_Titles" localSheetId="0">'State of Act incl DDF and Adj'!$1:$5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B43" i="1"/>
  <c r="B147" i="1"/>
  <c r="B148" i="1" s="1"/>
  <c r="B140" i="1"/>
  <c r="B139" i="1"/>
  <c r="B138" i="1"/>
  <c r="B136" i="1"/>
  <c r="B125" i="1"/>
  <c r="B119" i="1"/>
  <c r="B118" i="1"/>
  <c r="B117" i="1"/>
  <c r="B116" i="1"/>
  <c r="B111" i="1"/>
  <c r="B110" i="1"/>
  <c r="B109" i="1"/>
  <c r="B105" i="1"/>
  <c r="B104" i="1"/>
  <c r="B100" i="1"/>
  <c r="B99" i="1"/>
  <c r="B102" i="1" s="1"/>
  <c r="B96" i="1"/>
  <c r="B94" i="1"/>
  <c r="B93" i="1"/>
  <c r="B92" i="1"/>
  <c r="B91" i="1"/>
  <c r="B90" i="1"/>
  <c r="B89" i="1"/>
  <c r="B87" i="1"/>
  <c r="B86" i="1"/>
  <c r="B84" i="1"/>
  <c r="B80" i="1"/>
  <c r="B79" i="1"/>
  <c r="B78" i="1"/>
  <c r="B77" i="1"/>
  <c r="B75" i="1"/>
  <c r="B74" i="1"/>
  <c r="B71" i="1"/>
  <c r="B69" i="1"/>
  <c r="B67" i="1"/>
  <c r="B66" i="1"/>
  <c r="B65" i="1"/>
  <c r="B63" i="1"/>
  <c r="B59" i="1"/>
  <c r="B58" i="1"/>
  <c r="B57" i="1"/>
  <c r="B56" i="1"/>
  <c r="B54" i="1"/>
  <c r="B53" i="1"/>
  <c r="B49" i="1"/>
  <c r="B48" i="1"/>
  <c r="B50" i="1" s="1"/>
  <c r="E48" i="1" s="1"/>
  <c r="B41" i="1"/>
  <c r="E41" i="1" s="1"/>
  <c r="B39" i="1"/>
  <c r="B38" i="1"/>
  <c r="B35" i="1"/>
  <c r="B37" i="1" s="1"/>
  <c r="B31" i="1"/>
  <c r="B30" i="1"/>
  <c r="B28" i="1"/>
  <c r="B27" i="1"/>
  <c r="B29" i="1" s="1"/>
  <c r="B26" i="1"/>
  <c r="B22" i="1"/>
  <c r="B21" i="1"/>
  <c r="B20" i="1"/>
  <c r="B18" i="1"/>
  <c r="B17" i="1"/>
  <c r="B16" i="1"/>
  <c r="B15" i="1"/>
  <c r="B12" i="1"/>
  <c r="B10" i="1"/>
  <c r="E10" i="1" s="1"/>
  <c r="G10" i="1" s="1"/>
  <c r="B9" i="1"/>
  <c r="G9" i="1" s="1"/>
  <c r="B7" i="1"/>
  <c r="B141" i="1" l="1"/>
  <c r="E138" i="1" s="1"/>
  <c r="B95" i="1"/>
  <c r="B81" i="1"/>
  <c r="B106" i="1"/>
  <c r="B60" i="1"/>
  <c r="B62" i="1" s="1"/>
  <c r="B70" i="1"/>
  <c r="H48" i="1" s="1"/>
  <c r="B19" i="1"/>
  <c r="B32" i="1" s="1"/>
  <c r="B13" i="1"/>
  <c r="B24" i="1"/>
  <c r="B143" i="1"/>
  <c r="B149" i="1" s="1"/>
  <c r="G7" i="1"/>
  <c r="H7" i="1" s="1"/>
  <c r="B76" i="1"/>
  <c r="B121" i="1"/>
  <c r="H71" i="1" s="1"/>
  <c r="B97" i="1"/>
  <c r="E21" i="1"/>
  <c r="B40" i="1"/>
  <c r="B51" i="1"/>
  <c r="B114" i="1"/>
  <c r="E9" i="1"/>
  <c r="B72" i="1" l="1"/>
  <c r="E15" i="1"/>
  <c r="B44" i="1"/>
  <c r="B131" i="1"/>
  <c r="B132" i="1" s="1"/>
  <c r="B150" i="1" s="1"/>
  <c r="F48" i="1"/>
</calcChain>
</file>

<file path=xl/sharedStrings.xml><?xml version="1.0" encoding="utf-8"?>
<sst xmlns="http://schemas.openxmlformats.org/spreadsheetml/2006/main" count="225" uniqueCount="163">
  <si>
    <t>Rotary District 7620</t>
  </si>
  <si>
    <t>Statement of Activity</t>
  </si>
  <si>
    <t>QBO</t>
  </si>
  <si>
    <t>Auditor's Classifications</t>
  </si>
  <si>
    <t>Auditor's Total for Classification</t>
  </si>
  <si>
    <t>RI Statement</t>
  </si>
  <si>
    <t>Sum for Class as Shown Here</t>
  </si>
  <si>
    <t>Not Yet Reconciled</t>
  </si>
  <si>
    <t>Revenue</t>
  </si>
  <si>
    <t xml:space="preserve">   4010 RI DDF Share Community Grant</t>
  </si>
  <si>
    <t>Contributions &amp; Grants</t>
  </si>
  <si>
    <t xml:space="preserve">   41000 Operating Revenue</t>
  </si>
  <si>
    <t xml:space="preserve">      41400 RI DG Support Revenue</t>
  </si>
  <si>
    <t>DG Installation Event</t>
  </si>
  <si>
    <t xml:space="preserve">      41600 Invoiced Club Dues</t>
  </si>
  <si>
    <t>Membership Dues</t>
  </si>
  <si>
    <t>District per capita levy on Rotary clubs</t>
  </si>
  <si>
    <t xml:space="preserve">     41610 Invoice Rotaract Dues</t>
  </si>
  <si>
    <t xml:space="preserve">      41605 Invoiced CPETS Contribution</t>
  </si>
  <si>
    <t xml:space="preserve">   Total 41000 Operating Revenue</t>
  </si>
  <si>
    <t xml:space="preserve">   42000 Event Revenue</t>
  </si>
  <si>
    <t xml:space="preserve">      42100 District Conference Revenue</t>
  </si>
  <si>
    <t>District Conference Registration</t>
  </si>
  <si>
    <t xml:space="preserve">         42120 4 Way Test</t>
  </si>
  <si>
    <t xml:space="preserve">         42130 Sponsorships</t>
  </si>
  <si>
    <t xml:space="preserve">         42150 House of Friendship</t>
  </si>
  <si>
    <t xml:space="preserve">      Total 42100 District Conference Revenue</t>
  </si>
  <si>
    <t xml:space="preserve">      42105 District Awards</t>
  </si>
  <si>
    <t xml:space="preserve">      42200 Foundation Event Revenue</t>
  </si>
  <si>
    <t>Other Program Service Revenue</t>
  </si>
  <si>
    <t xml:space="preserve">         42210 Registrations</t>
  </si>
  <si>
    <t xml:space="preserve">         42220 Sponsorships</t>
  </si>
  <si>
    <t xml:space="preserve">      Total 42200 Foundation Event Revenue</t>
  </si>
  <si>
    <t xml:space="preserve">      42300 NYC Trip Revenue</t>
  </si>
  <si>
    <t xml:space="preserve">      42500 Pre-PETS Revenue</t>
  </si>
  <si>
    <t xml:space="preserve">      42600 DG Installation Event</t>
  </si>
  <si>
    <t xml:space="preserve">         42630 Sponsorships</t>
  </si>
  <si>
    <t xml:space="preserve">      Total 42600 DG Installation Event</t>
  </si>
  <si>
    <t xml:space="preserve">      42650 DG Awards</t>
  </si>
  <si>
    <t xml:space="preserve">      42700 Membership Summit</t>
  </si>
  <si>
    <t xml:space="preserve">   Total 42000 Event Revenue</t>
  </si>
  <si>
    <t xml:space="preserve">   43000 Program Revenue</t>
  </si>
  <si>
    <t xml:space="preserve">      43100 RYLA Program Revenue</t>
  </si>
  <si>
    <t xml:space="preserve">         43110 Registrations</t>
  </si>
  <si>
    <t>Foundation Gala</t>
  </si>
  <si>
    <t xml:space="preserve">         43130 Sponsorships</t>
  </si>
  <si>
    <t xml:space="preserve">      Total 43100 RYLA Program Revenue</t>
  </si>
  <si>
    <t xml:space="preserve">      43300 YEP</t>
  </si>
  <si>
    <t xml:space="preserve">      43400 Polio Eradication Revenue</t>
  </si>
  <si>
    <t xml:space="preserve">   Total 43000 Program Revenue</t>
  </si>
  <si>
    <t xml:space="preserve">   44100 CART Donations</t>
  </si>
  <si>
    <t xml:space="preserve">   4431 PolioPlus program</t>
  </si>
  <si>
    <t xml:space="preserve">   49000 Miscellaneous Revenue</t>
  </si>
  <si>
    <t>Total Revenue</t>
  </si>
  <si>
    <t>Expenditures</t>
  </si>
  <si>
    <t xml:space="preserve">   61000 Operating Expense</t>
  </si>
  <si>
    <t xml:space="preserve">      61100 Contract Services</t>
  </si>
  <si>
    <t xml:space="preserve">         61111 District Executive Secretary</t>
  </si>
  <si>
    <t>General and Administrative</t>
  </si>
  <si>
    <t xml:space="preserve">         61112 DES Reimbursable Expense</t>
  </si>
  <si>
    <t xml:space="preserve">      Total 61100 Contract Services</t>
  </si>
  <si>
    <t xml:space="preserve">   Total 61000 Operating Expense</t>
  </si>
  <si>
    <t xml:space="preserve">   61200 Office Expense</t>
  </si>
  <si>
    <t xml:space="preserve">      61210 Office Supplies</t>
  </si>
  <si>
    <t xml:space="preserve">      61220 Postage and Delivery</t>
  </si>
  <si>
    <t xml:space="preserve">      61240 Banking</t>
  </si>
  <si>
    <t xml:space="preserve">         61241 Banking Fees</t>
  </si>
  <si>
    <t xml:space="preserve">         61242 Finance Charge</t>
  </si>
  <si>
    <t xml:space="preserve">         61243 Credit Card Fee</t>
  </si>
  <si>
    <t xml:space="preserve">            District Conf Credit Card Fees</t>
  </si>
  <si>
    <t xml:space="preserve">         Total 61243 Credit Card Fee</t>
  </si>
  <si>
    <t xml:space="preserve">         6715 PayPal Credit Card  Fee</t>
  </si>
  <si>
    <t xml:space="preserve">      Total 61240 Banking</t>
  </si>
  <si>
    <t xml:space="preserve">      61260 Insurance</t>
  </si>
  <si>
    <t xml:space="preserve">      61270 Technology</t>
  </si>
  <si>
    <t xml:space="preserve">         61271 Software</t>
  </si>
  <si>
    <t xml:space="preserve">         61272 IT Support</t>
  </si>
  <si>
    <t xml:space="preserve">         61273 Website</t>
  </si>
  <si>
    <t xml:space="preserve">         61274 Telecommunications</t>
  </si>
  <si>
    <t xml:space="preserve">         61375 Public Image</t>
  </si>
  <si>
    <t xml:space="preserve">      Total 61270 Technology</t>
  </si>
  <si>
    <t xml:space="preserve">      61280 Storage Rental</t>
  </si>
  <si>
    <t xml:space="preserve">   Total 61200 Office Expense</t>
  </si>
  <si>
    <t xml:space="preserve">   61300 Professional Services</t>
  </si>
  <si>
    <t xml:space="preserve">      61310 Accounting and Audit</t>
  </si>
  <si>
    <t xml:space="preserve">      61320 Bookkeeping</t>
  </si>
  <si>
    <t xml:space="preserve">   Total 61300 Professional Services</t>
  </si>
  <si>
    <t xml:space="preserve">   61400 DG Expenses</t>
  </si>
  <si>
    <t>Program Services</t>
  </si>
  <si>
    <t xml:space="preserve">      61420 Travel Reimbursement</t>
  </si>
  <si>
    <t xml:space="preserve">      61440 RI Convention</t>
  </si>
  <si>
    <t xml:space="preserve">      61450 DG Installation</t>
  </si>
  <si>
    <t xml:space="preserve">   Total 61400 DG Expenses</t>
  </si>
  <si>
    <t xml:space="preserve">   61500 District Executive Leadership Team</t>
  </si>
  <si>
    <t xml:space="preserve">      61520 Travel Reimbursement</t>
  </si>
  <si>
    <t xml:space="preserve">   Total 61500 District Executive Leadership Team</t>
  </si>
  <si>
    <t xml:space="preserve">   61600 District Operating Committee Exp</t>
  </si>
  <si>
    <t xml:space="preserve">      61610 AG Expense</t>
  </si>
  <si>
    <t xml:space="preserve">      61620 Membership</t>
  </si>
  <si>
    <t xml:space="preserve">      61630 Training</t>
  </si>
  <si>
    <t xml:space="preserve">         61631 District Team Training Seminar</t>
  </si>
  <si>
    <t xml:space="preserve">         61632 Zone Summit</t>
  </si>
  <si>
    <t xml:space="preserve">         61633 Zone Leadership Summit</t>
  </si>
  <si>
    <t xml:space="preserve">         61634 Club Leadership Training</t>
  </si>
  <si>
    <t xml:space="preserve">         61635 Pre-PETS</t>
  </si>
  <si>
    <t xml:space="preserve">         61636 CPETS</t>
  </si>
  <si>
    <t xml:space="preserve">      Total 61630 Training</t>
  </si>
  <si>
    <t xml:space="preserve">      61650 Program Committee Specific</t>
  </si>
  <si>
    <t xml:space="preserve">   Total 61600 District Operating Committee Exp</t>
  </si>
  <si>
    <t xml:space="preserve">   62000 Event Expense</t>
  </si>
  <si>
    <t xml:space="preserve">      62100 District Conference Expense</t>
  </si>
  <si>
    <t xml:space="preserve">         62120 4-Way Test</t>
  </si>
  <si>
    <t xml:space="preserve">         62170 Hospitality Suites</t>
  </si>
  <si>
    <t xml:space="preserve">      Total 62100 District Conference Expense</t>
  </si>
  <si>
    <t xml:space="preserve">      62200 DRF Events &amp; Support</t>
  </si>
  <si>
    <t xml:space="preserve">         62610 Foundation Event Expense</t>
  </si>
  <si>
    <t xml:space="preserve">         62620 DRFC Expenses</t>
  </si>
  <si>
    <t xml:space="preserve">      Total 62200 DRF Events &amp; Support</t>
  </si>
  <si>
    <t xml:space="preserve">      62300 NYC Trip Expense</t>
  </si>
  <si>
    <t xml:space="preserve">      62400 District Service Project</t>
  </si>
  <si>
    <t xml:space="preserve">      62600 District Peace Concert</t>
  </si>
  <si>
    <t xml:space="preserve">      62800 Special Event Expense</t>
  </si>
  <si>
    <t xml:space="preserve">      62900 Miscellaneous Fellowship Events</t>
  </si>
  <si>
    <t xml:space="preserve">      6315 Zone 33/34 Meeting</t>
  </si>
  <si>
    <t xml:space="preserve">      6320 GALA</t>
  </si>
  <si>
    <t xml:space="preserve">   Total 62000 Event Expense</t>
  </si>
  <si>
    <t xml:space="preserve">   63000 Program Expense</t>
  </si>
  <si>
    <t xml:space="preserve">      63100 RYLA</t>
  </si>
  <si>
    <t xml:space="preserve">      63150 Awards Payment</t>
  </si>
  <si>
    <t xml:space="preserve">      63200 RLI Membership Fee</t>
  </si>
  <si>
    <t xml:space="preserve">      63300 YEP</t>
  </si>
  <si>
    <t xml:space="preserve">      63400 Polio Eradication</t>
  </si>
  <si>
    <t xml:space="preserve">   Total 63000 Program Expense</t>
  </si>
  <si>
    <t xml:space="preserve">   6600 Supplies</t>
  </si>
  <si>
    <t xml:space="preserve">      6610 Badges</t>
  </si>
  <si>
    <t xml:space="preserve">      6630 Annual Awards Materials</t>
  </si>
  <si>
    <t xml:space="preserve">   Total 6600 Supplies</t>
  </si>
  <si>
    <t xml:space="preserve">   6800 Promotion &amp; Marketing</t>
  </si>
  <si>
    <t xml:space="preserve">   7010 Transportation</t>
  </si>
  <si>
    <t xml:space="preserve">   7020 Meals &amp; Beverage</t>
  </si>
  <si>
    <t xml:space="preserve">   7030 Travel</t>
  </si>
  <si>
    <t xml:space="preserve">   7040 Dues &amp; Reg  (Partnerships)</t>
  </si>
  <si>
    <t>Total Expenditures</t>
  </si>
  <si>
    <t>Net Operating Revenue</t>
  </si>
  <si>
    <t>Other Revenue</t>
  </si>
  <si>
    <t xml:space="preserve">   71000 Gifts &amp; Grants</t>
  </si>
  <si>
    <t xml:space="preserve">      71120 Global Grant Funds</t>
  </si>
  <si>
    <t xml:space="preserve">   Total 71000 Gifts &amp; Grants</t>
  </si>
  <si>
    <t xml:space="preserve">   73000 Investment Income</t>
  </si>
  <si>
    <t xml:space="preserve">      73100 Interest Income</t>
  </si>
  <si>
    <t>Investment Income (Loss) -- Net</t>
  </si>
  <si>
    <t xml:space="preserve">      73200 Dividend Income</t>
  </si>
  <si>
    <t xml:space="preserve">      73300 Unrealized Gains/Losses</t>
  </si>
  <si>
    <t xml:space="preserve">   Total 73000 Investment Income</t>
  </si>
  <si>
    <t>Total Other Revenue</t>
  </si>
  <si>
    <t>Other Expenditures</t>
  </si>
  <si>
    <t xml:space="preserve">   7920 DDF Share Community Grant</t>
  </si>
  <si>
    <t xml:space="preserve">   81000 Grants</t>
  </si>
  <si>
    <t xml:space="preserve">   82100 TRF Contribution</t>
  </si>
  <si>
    <t>Total Other Expenditures</t>
  </si>
  <si>
    <t>Net Other Revenue</t>
  </si>
  <si>
    <t>Net Revenue</t>
  </si>
  <si>
    <t>Includes AJE-1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</si>
</sst>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_);_(* @_)"/>
  </numFmts>
  <fonts count="8" x14ac:knownFonts="1">
    <font>
      <sz val="11"/>
      <color indexed="8"/>
      <name val="Aptos Narrow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9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4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39" fontId="7" fillId="0" borderId="0" xfId="0" applyNumberFormat="1" applyFont="1" applyFill="1" applyAlignment="1">
      <alignment wrapText="1"/>
    </xf>
    <xf numFmtId="39" fontId="6" fillId="0" borderId="0" xfId="0" applyNumberFormat="1" applyFont="1" applyFill="1" applyAlignment="1">
      <alignment wrapText="1"/>
    </xf>
    <xf numFmtId="39" fontId="7" fillId="0" borderId="0" xfId="0" applyNumberFormat="1" applyFont="1" applyFill="1" applyAlignment="1">
      <alignment horizontal="right" wrapText="1"/>
    </xf>
    <xf numFmtId="164" fontId="6" fillId="0" borderId="2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44F7B-78FB-4875-87FA-55494E803950}">
  <sheetPr>
    <pageSetUpPr fitToPage="1"/>
  </sheetPr>
  <dimension ref="A1:H154"/>
  <sheetViews>
    <sheetView tabSelected="1" zoomScale="148" zoomScaleNormal="148" workbookViewId="0">
      <selection activeCell="A3" sqref="A3:XFD3"/>
    </sheetView>
  </sheetViews>
  <sheetFormatPr defaultRowHeight="15" x14ac:dyDescent="0.25"/>
  <cols>
    <col min="1" max="1" width="43" customWidth="1"/>
    <col min="2" max="2" width="15.7109375" style="17" customWidth="1"/>
    <col min="3" max="3" width="2.140625" customWidth="1"/>
    <col min="4" max="4" width="33.28515625" customWidth="1"/>
    <col min="5" max="5" width="14.85546875" style="1" customWidth="1"/>
    <col min="6" max="6" width="36.140625" hidden="1" customWidth="1"/>
    <col min="7" max="7" width="13.85546875" style="1" customWidth="1"/>
    <col min="8" max="8" width="12.5703125" customWidth="1"/>
  </cols>
  <sheetData>
    <row r="1" spans="1:8" ht="1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18" x14ac:dyDescent="0.25">
      <c r="A2" s="11" t="s">
        <v>1</v>
      </c>
      <c r="B2" s="11"/>
      <c r="C2" s="11"/>
      <c r="D2" s="11"/>
      <c r="E2" s="11"/>
      <c r="F2" s="11"/>
      <c r="G2" s="11"/>
      <c r="H2" s="11"/>
    </row>
    <row r="3" spans="1:8" x14ac:dyDescent="0.25">
      <c r="A3" s="8"/>
      <c r="B3" s="8"/>
    </row>
    <row r="5" spans="1:8" ht="24.75" x14ac:dyDescent="0.25">
      <c r="A5" s="2"/>
      <c r="B5" s="12" t="s">
        <v>2</v>
      </c>
      <c r="C5" s="3"/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</row>
    <row r="6" spans="1:8" s="1" customFormat="1" x14ac:dyDescent="0.25">
      <c r="A6" s="6" t="s">
        <v>8</v>
      </c>
      <c r="B6" s="13"/>
      <c r="C6"/>
      <c r="D6"/>
      <c r="F6"/>
    </row>
    <row r="7" spans="1:8" s="1" customFormat="1" x14ac:dyDescent="0.25">
      <c r="A7" s="6" t="s">
        <v>9</v>
      </c>
      <c r="B7" s="14">
        <f>102776+1278-1220</f>
        <v>102834</v>
      </c>
      <c r="C7"/>
      <c r="D7" t="s">
        <v>10</v>
      </c>
      <c r="E7" s="1">
        <v>111732</v>
      </c>
      <c r="F7"/>
      <c r="G7" s="1">
        <f>B12+B41+B43+B7</f>
        <v>111732.15</v>
      </c>
      <c r="H7" s="1">
        <f>G7-E7</f>
        <v>0.14999999999417923</v>
      </c>
    </row>
    <row r="8" spans="1:8" s="1" customFormat="1" x14ac:dyDescent="0.25">
      <c r="A8" s="6" t="s">
        <v>11</v>
      </c>
      <c r="B8" s="13"/>
      <c r="C8"/>
      <c r="D8"/>
      <c r="F8"/>
    </row>
    <row r="9" spans="1:8" s="1" customFormat="1" x14ac:dyDescent="0.25">
      <c r="A9" s="6" t="s">
        <v>12</v>
      </c>
      <c r="B9" s="15">
        <f>10460</f>
        <v>10460</v>
      </c>
      <c r="C9"/>
      <c r="D9" t="s">
        <v>13</v>
      </c>
      <c r="E9" s="1">
        <f>B9+B27</f>
        <v>13360</v>
      </c>
      <c r="F9"/>
      <c r="G9" s="1">
        <f>B9+B27</f>
        <v>13360</v>
      </c>
    </row>
    <row r="10" spans="1:8" s="1" customFormat="1" x14ac:dyDescent="0.25">
      <c r="A10" s="6" t="s">
        <v>14</v>
      </c>
      <c r="B10" s="15">
        <f>165560-1690</f>
        <v>163870</v>
      </c>
      <c r="C10"/>
      <c r="D10" t="s">
        <v>15</v>
      </c>
      <c r="E10" s="1">
        <f>B10+B11</f>
        <v>165560</v>
      </c>
      <c r="F10" t="s">
        <v>16</v>
      </c>
      <c r="G10" s="1">
        <f>E10</f>
        <v>165560</v>
      </c>
    </row>
    <row r="11" spans="1:8" s="1" customFormat="1" x14ac:dyDescent="0.25">
      <c r="A11" s="6" t="s">
        <v>17</v>
      </c>
      <c r="B11" s="15">
        <v>1690</v>
      </c>
      <c r="C11"/>
      <c r="D11" t="s">
        <v>15</v>
      </c>
      <c r="F11" t="s">
        <v>16</v>
      </c>
    </row>
    <row r="12" spans="1:8" s="1" customFormat="1" x14ac:dyDescent="0.25">
      <c r="A12" s="6" t="s">
        <v>18</v>
      </c>
      <c r="B12" s="15">
        <f>5900</f>
        <v>5900</v>
      </c>
      <c r="C12"/>
      <c r="D12" t="s">
        <v>10</v>
      </c>
      <c r="F12"/>
    </row>
    <row r="13" spans="1:8" s="1" customFormat="1" x14ac:dyDescent="0.25">
      <c r="A13" s="6" t="s">
        <v>19</v>
      </c>
      <c r="B13" s="16">
        <f>(((B8)+(B9))+(B10))+(B12)+B11</f>
        <v>181920</v>
      </c>
      <c r="C13"/>
      <c r="D13"/>
      <c r="F13"/>
    </row>
    <row r="14" spans="1:8" s="1" customFormat="1" x14ac:dyDescent="0.25">
      <c r="A14" s="6" t="s">
        <v>20</v>
      </c>
      <c r="B14" s="13"/>
      <c r="C14"/>
      <c r="D14"/>
      <c r="F14"/>
    </row>
    <row r="15" spans="1:8" s="1" customFormat="1" x14ac:dyDescent="0.25">
      <c r="A15" s="6" t="s">
        <v>21</v>
      </c>
      <c r="B15" s="15">
        <f>54105</f>
        <v>54105</v>
      </c>
      <c r="C15"/>
      <c r="D15" t="s">
        <v>22</v>
      </c>
      <c r="E15" s="1">
        <f>B19+B20+B22+B28+B26+B30+B31</f>
        <v>89846.78</v>
      </c>
      <c r="F15"/>
      <c r="H15"/>
    </row>
    <row r="16" spans="1:8" s="1" customFormat="1" x14ac:dyDescent="0.25">
      <c r="A16" s="6" t="s">
        <v>23</v>
      </c>
      <c r="B16" s="15">
        <f>4400</f>
        <v>4400</v>
      </c>
      <c r="C16"/>
      <c r="D16" t="s">
        <v>22</v>
      </c>
      <c r="F16"/>
    </row>
    <row r="17" spans="1:6" s="1" customFormat="1" x14ac:dyDescent="0.25">
      <c r="A17" s="6" t="s">
        <v>24</v>
      </c>
      <c r="B17" s="15">
        <f>16716.78</f>
        <v>16716.78</v>
      </c>
      <c r="C17"/>
      <c r="D17" t="s">
        <v>22</v>
      </c>
      <c r="F17"/>
    </row>
    <row r="18" spans="1:6" x14ac:dyDescent="0.25">
      <c r="A18" s="6" t="s">
        <v>25</v>
      </c>
      <c r="B18" s="15">
        <f>960</f>
        <v>960</v>
      </c>
      <c r="D18" t="s">
        <v>22</v>
      </c>
    </row>
    <row r="19" spans="1:6" x14ac:dyDescent="0.25">
      <c r="A19" s="6" t="s">
        <v>26</v>
      </c>
      <c r="B19" s="16">
        <f>(((B15)+(B16))+(B17))+(B18)</f>
        <v>76181.78</v>
      </c>
    </row>
    <row r="20" spans="1:6" x14ac:dyDescent="0.25">
      <c r="A20" s="6" t="s">
        <v>27</v>
      </c>
      <c r="B20" s="15">
        <f>254</f>
        <v>254</v>
      </c>
      <c r="D20" t="s">
        <v>22</v>
      </c>
    </row>
    <row r="21" spans="1:6" x14ac:dyDescent="0.25">
      <c r="A21" s="6" t="s">
        <v>28</v>
      </c>
      <c r="B21" s="15">
        <f>4705</f>
        <v>4705</v>
      </c>
      <c r="D21" t="s">
        <v>29</v>
      </c>
      <c r="E21" s="1">
        <f>B21+B38+B39</f>
        <v>15531.77</v>
      </c>
    </row>
    <row r="22" spans="1:6" x14ac:dyDescent="0.25">
      <c r="A22" s="6" t="s">
        <v>30</v>
      </c>
      <c r="B22" s="15">
        <f>7610</f>
        <v>7610</v>
      </c>
      <c r="D22" t="s">
        <v>22</v>
      </c>
    </row>
    <row r="23" spans="1:6" x14ac:dyDescent="0.25">
      <c r="A23" s="6" t="s">
        <v>31</v>
      </c>
      <c r="B23" s="13"/>
    </row>
    <row r="24" spans="1:6" x14ac:dyDescent="0.25">
      <c r="A24" s="6" t="s">
        <v>32</v>
      </c>
      <c r="B24" s="16">
        <f>((B21)+(B22))+(B23)</f>
        <v>12315</v>
      </c>
    </row>
    <row r="25" spans="1:6" x14ac:dyDescent="0.25">
      <c r="A25" s="6" t="s">
        <v>33</v>
      </c>
      <c r="B25" s="13"/>
    </row>
    <row r="26" spans="1:6" x14ac:dyDescent="0.25">
      <c r="A26" s="6" t="s">
        <v>34</v>
      </c>
      <c r="B26" s="15">
        <f>1350</f>
        <v>1350</v>
      </c>
      <c r="D26" t="s">
        <v>22</v>
      </c>
    </row>
    <row r="27" spans="1:6" x14ac:dyDescent="0.25">
      <c r="A27" s="6" t="s">
        <v>35</v>
      </c>
      <c r="B27" s="15">
        <f>2900</f>
        <v>2900</v>
      </c>
      <c r="D27" t="s">
        <v>13</v>
      </c>
    </row>
    <row r="28" spans="1:6" x14ac:dyDescent="0.25">
      <c r="A28" s="6" t="s">
        <v>36</v>
      </c>
      <c r="B28" s="15">
        <f>1600</f>
        <v>1600</v>
      </c>
      <c r="D28" t="s">
        <v>22</v>
      </c>
    </row>
    <row r="29" spans="1:6" x14ac:dyDescent="0.25">
      <c r="A29" s="6" t="s">
        <v>37</v>
      </c>
      <c r="B29" s="16">
        <f>SUM(B27:B28)</f>
        <v>4500</v>
      </c>
    </row>
    <row r="30" spans="1:6" x14ac:dyDescent="0.25">
      <c r="A30" s="6" t="s">
        <v>38</v>
      </c>
      <c r="B30" s="15">
        <f>1776</f>
        <v>1776</v>
      </c>
      <c r="D30" t="s">
        <v>22</v>
      </c>
    </row>
    <row r="31" spans="1:6" x14ac:dyDescent="0.25">
      <c r="A31" s="6" t="s">
        <v>39</v>
      </c>
      <c r="B31" s="15">
        <f>1075</f>
        <v>1075</v>
      </c>
      <c r="D31" t="s">
        <v>22</v>
      </c>
    </row>
    <row r="32" spans="1:6" x14ac:dyDescent="0.25">
      <c r="A32" s="6" t="s">
        <v>40</v>
      </c>
      <c r="B32" s="16">
        <f>((((((((B14)+(B19))+(B20))+(B24))+(B25))+(B26))+(B29))+(B30))+(B31)</f>
        <v>97451.78</v>
      </c>
    </row>
    <row r="33" spans="1:8" x14ac:dyDescent="0.25">
      <c r="A33" s="6" t="s">
        <v>41</v>
      </c>
      <c r="B33" s="13"/>
    </row>
    <row r="34" spans="1:8" s="1" customFormat="1" x14ac:dyDescent="0.25">
      <c r="A34" s="6" t="s">
        <v>42</v>
      </c>
      <c r="B34" s="13"/>
      <c r="C34"/>
      <c r="D34"/>
      <c r="F34"/>
    </row>
    <row r="35" spans="1:8" s="1" customFormat="1" x14ac:dyDescent="0.25">
      <c r="A35" s="6" t="s">
        <v>43</v>
      </c>
      <c r="B35" s="15">
        <f>41640</f>
        <v>41640</v>
      </c>
      <c r="C35"/>
      <c r="D35" t="s">
        <v>44</v>
      </c>
      <c r="E35" s="1">
        <v>41640</v>
      </c>
      <c r="F35"/>
    </row>
    <row r="36" spans="1:8" s="1" customFormat="1" x14ac:dyDescent="0.25">
      <c r="A36" s="6" t="s">
        <v>45</v>
      </c>
      <c r="B36" s="13"/>
      <c r="C36"/>
      <c r="D36"/>
      <c r="F36"/>
    </row>
    <row r="37" spans="1:8" s="1" customFormat="1" x14ac:dyDescent="0.25">
      <c r="A37" s="6" t="s">
        <v>46</v>
      </c>
      <c r="B37" s="16">
        <f>((B34)+(B35))+(B36)</f>
        <v>41640</v>
      </c>
      <c r="C37"/>
      <c r="D37"/>
      <c r="F37"/>
    </row>
    <row r="38" spans="1:8" s="1" customFormat="1" x14ac:dyDescent="0.25">
      <c r="A38" s="6" t="s">
        <v>47</v>
      </c>
      <c r="B38" s="15">
        <f>9838</f>
        <v>9838</v>
      </c>
      <c r="C38"/>
      <c r="D38" t="s">
        <v>29</v>
      </c>
      <c r="F38"/>
    </row>
    <row r="39" spans="1:8" s="1" customFormat="1" x14ac:dyDescent="0.25">
      <c r="A39" s="6" t="s">
        <v>48</v>
      </c>
      <c r="B39" s="15">
        <f>988.77</f>
        <v>988.77</v>
      </c>
      <c r="C39"/>
      <c r="D39" t="s">
        <v>29</v>
      </c>
      <c r="F39"/>
    </row>
    <row r="40" spans="1:8" s="1" customFormat="1" x14ac:dyDescent="0.25">
      <c r="A40" s="6" t="s">
        <v>49</v>
      </c>
      <c r="B40" s="16">
        <f>B37+B38+B39</f>
        <v>52466.77</v>
      </c>
      <c r="C40"/>
      <c r="D40"/>
      <c r="F40"/>
    </row>
    <row r="41" spans="1:8" s="1" customFormat="1" x14ac:dyDescent="0.25">
      <c r="A41" s="6" t="s">
        <v>50</v>
      </c>
      <c r="B41" s="15">
        <f>-269.85</f>
        <v>-269.85000000000002</v>
      </c>
      <c r="C41"/>
      <c r="D41" t="s">
        <v>10</v>
      </c>
      <c r="E41" s="1">
        <f>B41</f>
        <v>-269.85000000000002</v>
      </c>
      <c r="F41"/>
    </row>
    <row r="42" spans="1:8" s="1" customFormat="1" x14ac:dyDescent="0.25">
      <c r="A42" s="6" t="s">
        <v>51</v>
      </c>
      <c r="B42" s="13"/>
      <c r="C42"/>
      <c r="D42"/>
      <c r="F42"/>
    </row>
    <row r="43" spans="1:8" s="1" customFormat="1" x14ac:dyDescent="0.25">
      <c r="A43" s="6" t="s">
        <v>52</v>
      </c>
      <c r="B43" s="15">
        <f>3411-143</f>
        <v>3268</v>
      </c>
      <c r="C43"/>
      <c r="D43" t="s">
        <v>10</v>
      </c>
      <c r="E43" s="1" t="s">
        <v>162</v>
      </c>
      <c r="F43"/>
    </row>
    <row r="44" spans="1:8" s="1" customFormat="1" x14ac:dyDescent="0.25">
      <c r="A44" s="6" t="s">
        <v>53</v>
      </c>
      <c r="B44" s="16">
        <f>(((((B13)+(B32))+(B40))+(B41))+(B42))+(B43)+B7</f>
        <v>437670.70000000007</v>
      </c>
      <c r="C44"/>
      <c r="D44"/>
      <c r="F44" s="7"/>
    </row>
    <row r="45" spans="1:8" s="1" customFormat="1" ht="29.25" customHeight="1" x14ac:dyDescent="0.25">
      <c r="A45" s="6" t="s">
        <v>54</v>
      </c>
      <c r="B45" s="13"/>
      <c r="C45"/>
      <c r="D45"/>
      <c r="F45"/>
    </row>
    <row r="46" spans="1:8" s="1" customFormat="1" x14ac:dyDescent="0.25">
      <c r="A46" s="6" t="s">
        <v>55</v>
      </c>
      <c r="B46" s="13"/>
      <c r="C46"/>
      <c r="D46"/>
      <c r="F46"/>
    </row>
    <row r="47" spans="1:8" s="1" customFormat="1" x14ac:dyDescent="0.25">
      <c r="A47" s="6" t="s">
        <v>56</v>
      </c>
      <c r="B47" s="13"/>
      <c r="C47"/>
      <c r="D47"/>
      <c r="F47"/>
    </row>
    <row r="48" spans="1:8" s="1" customFormat="1" x14ac:dyDescent="0.25">
      <c r="A48" s="6" t="s">
        <v>57</v>
      </c>
      <c r="B48" s="15">
        <f>44270.75</f>
        <v>44270.75</v>
      </c>
      <c r="C48"/>
      <c r="D48" t="s">
        <v>58</v>
      </c>
      <c r="E48" s="7">
        <f>B50+B53+B54+B56+B57+B58+B63+B65+B66+B67+B69+B74+B75+B118+B78</f>
        <v>90570.26</v>
      </c>
      <c r="F48" s="7">
        <f>B51+B53+B54+B62+B63+B70+B71+B76</f>
        <v>89209.93</v>
      </c>
      <c r="G48" s="1">
        <v>90570</v>
      </c>
      <c r="H48" s="1">
        <f>E48-G48</f>
        <v>0.25999999999476131</v>
      </c>
    </row>
    <row r="49" spans="1:6" s="1" customFormat="1" x14ac:dyDescent="0.25">
      <c r="A49" s="6" t="s">
        <v>59</v>
      </c>
      <c r="B49" s="15">
        <f>2405.31</f>
        <v>2405.31</v>
      </c>
      <c r="C49"/>
      <c r="D49" t="s">
        <v>58</v>
      </c>
      <c r="F49"/>
    </row>
    <row r="50" spans="1:6" x14ac:dyDescent="0.25">
      <c r="A50" s="6" t="s">
        <v>60</v>
      </c>
      <c r="B50" s="16">
        <f>((B47)+(B48))+(B49)</f>
        <v>46676.06</v>
      </c>
    </row>
    <row r="51" spans="1:6" x14ac:dyDescent="0.25">
      <c r="A51" s="6" t="s">
        <v>61</v>
      </c>
      <c r="B51" s="16">
        <f>(B46)+(B50)</f>
        <v>46676.06</v>
      </c>
    </row>
    <row r="52" spans="1:6" x14ac:dyDescent="0.25">
      <c r="A52" s="6" t="s">
        <v>62</v>
      </c>
      <c r="B52" s="13"/>
    </row>
    <row r="53" spans="1:6" x14ac:dyDescent="0.25">
      <c r="A53" s="6" t="s">
        <v>63</v>
      </c>
      <c r="B53" s="15">
        <f>905.53</f>
        <v>905.53</v>
      </c>
      <c r="D53" t="s">
        <v>58</v>
      </c>
    </row>
    <row r="54" spans="1:6" x14ac:dyDescent="0.25">
      <c r="A54" s="6" t="s">
        <v>64</v>
      </c>
      <c r="B54" s="15">
        <f>852.07</f>
        <v>852.07</v>
      </c>
      <c r="D54" t="s">
        <v>58</v>
      </c>
    </row>
    <row r="55" spans="1:6" x14ac:dyDescent="0.25">
      <c r="A55" s="6" t="s">
        <v>65</v>
      </c>
      <c r="B55" s="13"/>
    </row>
    <row r="56" spans="1:6" x14ac:dyDescent="0.25">
      <c r="A56" s="6" t="s">
        <v>66</v>
      </c>
      <c r="B56" s="15">
        <f>40.57</f>
        <v>40.57</v>
      </c>
      <c r="D56" t="s">
        <v>58</v>
      </c>
    </row>
    <row r="57" spans="1:6" x14ac:dyDescent="0.25">
      <c r="A57" s="6" t="s">
        <v>67</v>
      </c>
      <c r="B57" s="15">
        <f>280.27</f>
        <v>280.27</v>
      </c>
      <c r="D57" t="s">
        <v>58</v>
      </c>
    </row>
    <row r="58" spans="1:6" x14ac:dyDescent="0.25">
      <c r="A58" s="6" t="s">
        <v>68</v>
      </c>
      <c r="B58" s="15">
        <f>4340.37</f>
        <v>4340.37</v>
      </c>
      <c r="D58" t="s">
        <v>58</v>
      </c>
    </row>
    <row r="59" spans="1:6" x14ac:dyDescent="0.25">
      <c r="A59" s="6" t="s">
        <v>69</v>
      </c>
      <c r="B59" s="15">
        <f>0</f>
        <v>0</v>
      </c>
      <c r="D59" t="s">
        <v>58</v>
      </c>
    </row>
    <row r="60" spans="1:6" x14ac:dyDescent="0.25">
      <c r="A60" s="6" t="s">
        <v>70</v>
      </c>
      <c r="B60" s="16">
        <f>(B58)+(B59)</f>
        <v>4340.37</v>
      </c>
    </row>
    <row r="61" spans="1:6" x14ac:dyDescent="0.25">
      <c r="A61" s="6" t="s">
        <v>71</v>
      </c>
      <c r="B61" s="13"/>
    </row>
    <row r="62" spans="1:6" x14ac:dyDescent="0.25">
      <c r="A62" s="6" t="s">
        <v>72</v>
      </c>
      <c r="B62" s="16">
        <f>((((B55)+(B56))+(B57))+(B60))+(B61)</f>
        <v>4661.21</v>
      </c>
    </row>
    <row r="63" spans="1:6" x14ac:dyDescent="0.25">
      <c r="A63" s="6" t="s">
        <v>73</v>
      </c>
      <c r="B63" s="15">
        <f>7050</f>
        <v>7050</v>
      </c>
      <c r="D63" t="s">
        <v>58</v>
      </c>
    </row>
    <row r="64" spans="1:6" x14ac:dyDescent="0.25">
      <c r="A64" s="6" t="s">
        <v>74</v>
      </c>
      <c r="B64" s="13"/>
    </row>
    <row r="65" spans="1:8" x14ac:dyDescent="0.25">
      <c r="A65" s="6" t="s">
        <v>75</v>
      </c>
      <c r="B65" s="15">
        <f>4083.07</f>
        <v>4083.07</v>
      </c>
      <c r="D65" t="s">
        <v>58</v>
      </c>
    </row>
    <row r="66" spans="1:8" s="1" customFormat="1" x14ac:dyDescent="0.25">
      <c r="A66" s="6" t="s">
        <v>76</v>
      </c>
      <c r="B66" s="15">
        <f>105.99</f>
        <v>105.99</v>
      </c>
      <c r="C66"/>
      <c r="D66" t="s">
        <v>58</v>
      </c>
      <c r="F66"/>
    </row>
    <row r="67" spans="1:8" s="1" customFormat="1" x14ac:dyDescent="0.25">
      <c r="A67" s="6" t="s">
        <v>77</v>
      </c>
      <c r="B67" s="15">
        <f>1200</f>
        <v>1200</v>
      </c>
      <c r="C67"/>
      <c r="D67" t="s">
        <v>58</v>
      </c>
      <c r="F67"/>
    </row>
    <row r="68" spans="1:8" s="1" customFormat="1" x14ac:dyDescent="0.25">
      <c r="A68" s="6" t="s">
        <v>78</v>
      </c>
      <c r="B68" s="13"/>
      <c r="C68"/>
      <c r="D68"/>
      <c r="F68"/>
    </row>
    <row r="69" spans="1:8" s="1" customFormat="1" x14ac:dyDescent="0.25">
      <c r="A69" s="6" t="s">
        <v>79</v>
      </c>
      <c r="B69" s="15">
        <f>1195</f>
        <v>1195</v>
      </c>
      <c r="C69"/>
      <c r="D69" t="s">
        <v>58</v>
      </c>
      <c r="F69"/>
    </row>
    <row r="70" spans="1:8" s="1" customFormat="1" x14ac:dyDescent="0.25">
      <c r="A70" s="6" t="s">
        <v>80</v>
      </c>
      <c r="B70" s="16">
        <f>(((((B64)+(B65))+(B66))+(B67))+(B68))+(B69)</f>
        <v>6584.06</v>
      </c>
      <c r="C70"/>
      <c r="D70" t="s">
        <v>58</v>
      </c>
      <c r="F70"/>
    </row>
    <row r="71" spans="1:8" s="1" customFormat="1" x14ac:dyDescent="0.25">
      <c r="A71" s="6" t="s">
        <v>81</v>
      </c>
      <c r="B71" s="15">
        <f>4176</f>
        <v>4176</v>
      </c>
      <c r="C71"/>
      <c r="D71" t="s">
        <v>88</v>
      </c>
      <c r="E71" s="1">
        <f>B71+B77+B79+B80+B86+B87+B95+B96+B102+B106+B109+B110+B111+B116+B117+B119+B148</f>
        <v>355321.8</v>
      </c>
      <c r="F71" t="s">
        <v>2</v>
      </c>
      <c r="G71" s="1">
        <v>355321</v>
      </c>
      <c r="H71" s="1">
        <f>G71-E71</f>
        <v>-0.79999999998835847</v>
      </c>
    </row>
    <row r="72" spans="1:8" s="1" customFormat="1" x14ac:dyDescent="0.25">
      <c r="A72" s="6" t="s">
        <v>82</v>
      </c>
      <c r="B72" s="16">
        <f>((((((B52)+(B53))+(B54))+(B62))+(B63))+(B70))+(B71)</f>
        <v>24228.87</v>
      </c>
      <c r="C72"/>
      <c r="D72"/>
      <c r="F72"/>
    </row>
    <row r="73" spans="1:8" s="1" customFormat="1" x14ac:dyDescent="0.25">
      <c r="A73" s="6" t="s">
        <v>83</v>
      </c>
      <c r="B73" s="13"/>
      <c r="C73"/>
      <c r="D73"/>
      <c r="F73"/>
    </row>
    <row r="74" spans="1:8" s="1" customFormat="1" x14ac:dyDescent="0.25">
      <c r="A74" s="6" t="s">
        <v>84</v>
      </c>
      <c r="B74" s="15">
        <f>8000</f>
        <v>8000</v>
      </c>
      <c r="C74"/>
      <c r="D74" t="s">
        <v>58</v>
      </c>
      <c r="F74"/>
    </row>
    <row r="75" spans="1:8" s="1" customFormat="1" x14ac:dyDescent="0.25">
      <c r="A75" s="6" t="s">
        <v>85</v>
      </c>
      <c r="B75" s="15">
        <f>10305</f>
        <v>10305</v>
      </c>
      <c r="C75"/>
      <c r="D75" t="s">
        <v>58</v>
      </c>
      <c r="F75"/>
    </row>
    <row r="76" spans="1:8" s="1" customFormat="1" x14ac:dyDescent="0.25">
      <c r="A76" s="6" t="s">
        <v>86</v>
      </c>
      <c r="B76" s="16">
        <f>((B73)+(B74))+(B75)</f>
        <v>18305</v>
      </c>
      <c r="C76"/>
      <c r="D76" t="s">
        <v>58</v>
      </c>
      <c r="F76"/>
    </row>
    <row r="77" spans="1:8" s="1" customFormat="1" x14ac:dyDescent="0.25">
      <c r="A77" s="6" t="s">
        <v>87</v>
      </c>
      <c r="B77" s="15">
        <f>10029.26</f>
        <v>10029.26</v>
      </c>
      <c r="C77"/>
      <c r="D77" t="s">
        <v>88</v>
      </c>
    </row>
    <row r="78" spans="1:8" s="1" customFormat="1" x14ac:dyDescent="0.25">
      <c r="A78" s="6" t="s">
        <v>89</v>
      </c>
      <c r="B78" s="15">
        <f>5236.33</f>
        <v>5236.33</v>
      </c>
      <c r="C78"/>
      <c r="D78" t="s">
        <v>58</v>
      </c>
    </row>
    <row r="79" spans="1:8" s="1" customFormat="1" x14ac:dyDescent="0.25">
      <c r="A79" s="6" t="s">
        <v>90</v>
      </c>
      <c r="B79" s="15">
        <f>9728.29</f>
        <v>9728.2900000000009</v>
      </c>
      <c r="C79"/>
      <c r="D79" t="s">
        <v>88</v>
      </c>
      <c r="F79"/>
    </row>
    <row r="80" spans="1:8" s="1" customFormat="1" x14ac:dyDescent="0.25">
      <c r="A80" s="6" t="s">
        <v>91</v>
      </c>
      <c r="B80" s="15">
        <f>4537.2</f>
        <v>4537.2</v>
      </c>
      <c r="C80"/>
      <c r="D80" t="s">
        <v>88</v>
      </c>
      <c r="F80"/>
    </row>
    <row r="81" spans="1:6" s="1" customFormat="1" x14ac:dyDescent="0.25">
      <c r="A81" s="6" t="s">
        <v>92</v>
      </c>
      <c r="B81" s="16">
        <f>(((B77)+(B78))+(B79))+(B80)</f>
        <v>29531.08</v>
      </c>
      <c r="C81"/>
      <c r="D81"/>
      <c r="F81"/>
    </row>
    <row r="82" spans="1:6" s="1" customFormat="1" x14ac:dyDescent="0.25">
      <c r="A82" s="6" t="s">
        <v>93</v>
      </c>
      <c r="B82" s="13"/>
      <c r="C82"/>
      <c r="D82"/>
      <c r="F82"/>
    </row>
    <row r="83" spans="1:6" s="1" customFormat="1" x14ac:dyDescent="0.25">
      <c r="A83" s="6" t="s">
        <v>94</v>
      </c>
      <c r="B83" s="13"/>
      <c r="C83"/>
      <c r="D83"/>
      <c r="F83"/>
    </row>
    <row r="84" spans="1:6" s="1" customFormat="1" x14ac:dyDescent="0.25">
      <c r="A84" s="6" t="s">
        <v>95</v>
      </c>
      <c r="B84" s="16">
        <f>(B82)+(B83)</f>
        <v>0</v>
      </c>
      <c r="C84"/>
      <c r="D84"/>
      <c r="F84"/>
    </row>
    <row r="85" spans="1:6" s="1" customFormat="1" x14ac:dyDescent="0.25">
      <c r="A85" s="6" t="s">
        <v>96</v>
      </c>
      <c r="B85" s="13"/>
      <c r="C85"/>
      <c r="D85"/>
      <c r="F85"/>
    </row>
    <row r="86" spans="1:6" s="1" customFormat="1" x14ac:dyDescent="0.25">
      <c r="A86" s="6" t="s">
        <v>97</v>
      </c>
      <c r="B86" s="15">
        <f>4795.58</f>
        <v>4795.58</v>
      </c>
      <c r="C86"/>
      <c r="D86" t="s">
        <v>88</v>
      </c>
      <c r="F86"/>
    </row>
    <row r="87" spans="1:6" s="1" customFormat="1" x14ac:dyDescent="0.25">
      <c r="A87" s="6" t="s">
        <v>98</v>
      </c>
      <c r="B87" s="15">
        <f>2659.44</f>
        <v>2659.44</v>
      </c>
      <c r="C87"/>
      <c r="D87" t="s">
        <v>88</v>
      </c>
      <c r="F87"/>
    </row>
    <row r="88" spans="1:6" s="1" customFormat="1" x14ac:dyDescent="0.25">
      <c r="A88" s="6" t="s">
        <v>99</v>
      </c>
      <c r="B88" s="13"/>
      <c r="C88"/>
      <c r="D88"/>
      <c r="F88"/>
    </row>
    <row r="89" spans="1:6" s="1" customFormat="1" x14ac:dyDescent="0.25">
      <c r="A89" s="6" t="s">
        <v>100</v>
      </c>
      <c r="B89" s="15">
        <f>7377.24</f>
        <v>7377.24</v>
      </c>
      <c r="C89"/>
      <c r="D89" t="s">
        <v>88</v>
      </c>
      <c r="F89"/>
    </row>
    <row r="90" spans="1:6" s="1" customFormat="1" x14ac:dyDescent="0.25">
      <c r="A90" s="6" t="s">
        <v>101</v>
      </c>
      <c r="B90" s="15">
        <f>5413.42</f>
        <v>5413.42</v>
      </c>
      <c r="C90"/>
      <c r="D90" t="s">
        <v>88</v>
      </c>
      <c r="F90"/>
    </row>
    <row r="91" spans="1:6" s="1" customFormat="1" x14ac:dyDescent="0.25">
      <c r="A91" s="6" t="s">
        <v>102</v>
      </c>
      <c r="B91" s="15">
        <f>3175.5</f>
        <v>3175.5</v>
      </c>
      <c r="C91"/>
      <c r="D91" t="s">
        <v>88</v>
      </c>
      <c r="F91"/>
    </row>
    <row r="92" spans="1:6" s="1" customFormat="1" x14ac:dyDescent="0.25">
      <c r="A92" s="6" t="s">
        <v>103</v>
      </c>
      <c r="B92" s="15">
        <f>-50</f>
        <v>-50</v>
      </c>
      <c r="C92"/>
      <c r="D92" t="s">
        <v>88</v>
      </c>
      <c r="F92"/>
    </row>
    <row r="93" spans="1:6" s="1" customFormat="1" x14ac:dyDescent="0.25">
      <c r="A93" s="6" t="s">
        <v>104</v>
      </c>
      <c r="B93" s="15">
        <f>2001.61</f>
        <v>2001.61</v>
      </c>
      <c r="C93"/>
      <c r="D93" t="s">
        <v>88</v>
      </c>
      <c r="F93"/>
    </row>
    <row r="94" spans="1:6" s="1" customFormat="1" x14ac:dyDescent="0.25">
      <c r="A94" s="6" t="s">
        <v>105</v>
      </c>
      <c r="B94" s="15">
        <f>10128.34</f>
        <v>10128.34</v>
      </c>
      <c r="C94"/>
      <c r="D94" t="s">
        <v>88</v>
      </c>
      <c r="F94"/>
    </row>
    <row r="95" spans="1:6" s="1" customFormat="1" x14ac:dyDescent="0.25">
      <c r="A95" s="6" t="s">
        <v>106</v>
      </c>
      <c r="B95" s="16">
        <f>((((((B88)+(B89))+(B90))+(B91))+(B92))+(B93))+(B94)</f>
        <v>28046.11</v>
      </c>
      <c r="C95"/>
      <c r="D95"/>
      <c r="F95"/>
    </row>
    <row r="96" spans="1:6" s="1" customFormat="1" x14ac:dyDescent="0.25">
      <c r="A96" s="6" t="s">
        <v>107</v>
      </c>
      <c r="B96" s="15">
        <f>1713.22</f>
        <v>1713.22</v>
      </c>
      <c r="C96"/>
      <c r="D96" t="s">
        <v>88</v>
      </c>
      <c r="F96"/>
    </row>
    <row r="97" spans="1:6" s="1" customFormat="1" x14ac:dyDescent="0.25">
      <c r="A97" s="6" t="s">
        <v>108</v>
      </c>
      <c r="B97" s="16">
        <f>((((B85)+(B86))+(B87))+(B95))+(B96)</f>
        <v>37214.350000000006</v>
      </c>
      <c r="C97"/>
      <c r="D97"/>
      <c r="F97"/>
    </row>
    <row r="98" spans="1:6" s="1" customFormat="1" x14ac:dyDescent="0.25">
      <c r="A98" s="6" t="s">
        <v>109</v>
      </c>
      <c r="B98" s="13"/>
      <c r="C98"/>
      <c r="D98"/>
      <c r="F98"/>
    </row>
    <row r="99" spans="1:6" s="1" customFormat="1" x14ac:dyDescent="0.25">
      <c r="A99" s="6" t="s">
        <v>110</v>
      </c>
      <c r="B99" s="15">
        <f>101791.74</f>
        <v>101791.74</v>
      </c>
      <c r="C99"/>
      <c r="D99" t="s">
        <v>88</v>
      </c>
      <c r="F99"/>
    </row>
    <row r="100" spans="1:6" s="1" customFormat="1" x14ac:dyDescent="0.25">
      <c r="A100" s="6" t="s">
        <v>111</v>
      </c>
      <c r="B100" s="15">
        <f>5085.53</f>
        <v>5085.53</v>
      </c>
      <c r="C100"/>
      <c r="D100" t="s">
        <v>88</v>
      </c>
      <c r="F100"/>
    </row>
    <row r="101" spans="1:6" s="1" customFormat="1" x14ac:dyDescent="0.25">
      <c r="A101" s="6" t="s">
        <v>112</v>
      </c>
      <c r="B101" s="13"/>
      <c r="C101"/>
      <c r="D101"/>
      <c r="F101"/>
    </row>
    <row r="102" spans="1:6" s="1" customFormat="1" x14ac:dyDescent="0.25">
      <c r="A102" s="6" t="s">
        <v>113</v>
      </c>
      <c r="B102" s="16">
        <f>((B99)+(B100))+(B101)</f>
        <v>106877.27</v>
      </c>
      <c r="C102"/>
      <c r="D102"/>
      <c r="F102"/>
    </row>
    <row r="103" spans="1:6" s="1" customFormat="1" x14ac:dyDescent="0.25">
      <c r="A103" s="6" t="s">
        <v>114</v>
      </c>
      <c r="B103" s="13"/>
      <c r="C103"/>
      <c r="D103"/>
      <c r="F103"/>
    </row>
    <row r="104" spans="1:6" s="1" customFormat="1" x14ac:dyDescent="0.25">
      <c r="A104" s="6" t="s">
        <v>115</v>
      </c>
      <c r="B104" s="15">
        <f>2674.04</f>
        <v>2674.04</v>
      </c>
      <c r="C104"/>
      <c r="D104" t="s">
        <v>88</v>
      </c>
      <c r="F104"/>
    </row>
    <row r="105" spans="1:6" s="1" customFormat="1" x14ac:dyDescent="0.25">
      <c r="A105" s="6" t="s">
        <v>116</v>
      </c>
      <c r="B105" s="15">
        <f>888.01</f>
        <v>888.01</v>
      </c>
      <c r="C105"/>
      <c r="D105" t="s">
        <v>88</v>
      </c>
      <c r="F105"/>
    </row>
    <row r="106" spans="1:6" s="1" customFormat="1" x14ac:dyDescent="0.25">
      <c r="A106" s="6" t="s">
        <v>117</v>
      </c>
      <c r="B106" s="16">
        <f>((B103)+(B104))+(B105)</f>
        <v>3562.05</v>
      </c>
      <c r="C106"/>
      <c r="D106"/>
      <c r="F106"/>
    </row>
    <row r="107" spans="1:6" s="1" customFormat="1" x14ac:dyDescent="0.25">
      <c r="A107" s="6" t="s">
        <v>118</v>
      </c>
      <c r="B107" s="13"/>
      <c r="C107"/>
      <c r="D107"/>
      <c r="F107"/>
    </row>
    <row r="108" spans="1:6" s="1" customFormat="1" x14ac:dyDescent="0.25">
      <c r="A108" s="6" t="s">
        <v>119</v>
      </c>
      <c r="B108" s="13"/>
      <c r="C108"/>
      <c r="D108"/>
      <c r="F108"/>
    </row>
    <row r="109" spans="1:6" s="1" customFormat="1" x14ac:dyDescent="0.25">
      <c r="A109" s="6" t="s">
        <v>120</v>
      </c>
      <c r="B109" s="15">
        <f>675</f>
        <v>675</v>
      </c>
      <c r="C109"/>
      <c r="D109" t="s">
        <v>88</v>
      </c>
      <c r="F109"/>
    </row>
    <row r="110" spans="1:6" s="1" customFormat="1" x14ac:dyDescent="0.25">
      <c r="A110" s="6" t="s">
        <v>121</v>
      </c>
      <c r="B110" s="15">
        <f>17170.77</f>
        <v>17170.77</v>
      </c>
      <c r="C110"/>
      <c r="D110" t="s">
        <v>88</v>
      </c>
      <c r="F110"/>
    </row>
    <row r="111" spans="1:6" s="1" customFormat="1" x14ac:dyDescent="0.25">
      <c r="A111" s="6" t="s">
        <v>122</v>
      </c>
      <c r="B111" s="15">
        <f>9176.22</f>
        <v>9176.2199999999993</v>
      </c>
      <c r="C111"/>
      <c r="D111" t="s">
        <v>88</v>
      </c>
      <c r="F111"/>
    </row>
    <row r="112" spans="1:6" s="1" customFormat="1" x14ac:dyDescent="0.25">
      <c r="A112" s="6" t="s">
        <v>123</v>
      </c>
      <c r="B112" s="13"/>
      <c r="C112"/>
      <c r="D112"/>
      <c r="F112"/>
    </row>
    <row r="113" spans="1:6" s="1" customFormat="1" x14ac:dyDescent="0.25">
      <c r="A113" s="6" t="s">
        <v>124</v>
      </c>
      <c r="B113" s="13"/>
      <c r="C113"/>
      <c r="D113"/>
      <c r="F113"/>
    </row>
    <row r="114" spans="1:6" s="1" customFormat="1" x14ac:dyDescent="0.25">
      <c r="A114" s="6" t="s">
        <v>125</v>
      </c>
      <c r="B114" s="16">
        <f>(((((((((B98)+(B102))+(B106))+(B107))+(B108))+(B109))+(B110))+(B111))+(B112))+(B113)</f>
        <v>137461.31</v>
      </c>
      <c r="C114"/>
      <c r="D114"/>
      <c r="F114"/>
    </row>
    <row r="115" spans="1:6" s="1" customFormat="1" x14ac:dyDescent="0.25">
      <c r="A115" s="6" t="s">
        <v>126</v>
      </c>
      <c r="B115" s="13"/>
      <c r="C115"/>
      <c r="D115"/>
      <c r="F115"/>
    </row>
    <row r="116" spans="1:6" s="1" customFormat="1" x14ac:dyDescent="0.25">
      <c r="A116" s="6" t="s">
        <v>127</v>
      </c>
      <c r="B116" s="15">
        <f>32961.2</f>
        <v>32961.199999999997</v>
      </c>
      <c r="C116"/>
      <c r="D116" t="s">
        <v>88</v>
      </c>
      <c r="F116"/>
    </row>
    <row r="117" spans="1:6" s="1" customFormat="1" x14ac:dyDescent="0.25">
      <c r="A117" s="6" t="s">
        <v>128</v>
      </c>
      <c r="B117" s="15">
        <f>3509.4</f>
        <v>3509.4</v>
      </c>
      <c r="C117"/>
      <c r="D117" t="s">
        <v>88</v>
      </c>
      <c r="F117"/>
    </row>
    <row r="118" spans="1:6" s="1" customFormat="1" x14ac:dyDescent="0.25">
      <c r="A118" s="6" t="s">
        <v>129</v>
      </c>
      <c r="B118" s="15">
        <f>300</f>
        <v>300</v>
      </c>
      <c r="C118"/>
      <c r="D118" t="s">
        <v>58</v>
      </c>
      <c r="F118"/>
    </row>
    <row r="119" spans="1:6" s="1" customFormat="1" x14ac:dyDescent="0.25">
      <c r="A119" s="6" t="s">
        <v>130</v>
      </c>
      <c r="B119" s="15">
        <f>8403.79</f>
        <v>8403.7900000000009</v>
      </c>
      <c r="C119"/>
      <c r="D119" t="s">
        <v>88</v>
      </c>
      <c r="F119"/>
    </row>
    <row r="120" spans="1:6" s="1" customFormat="1" x14ac:dyDescent="0.25">
      <c r="A120" s="6" t="s">
        <v>131</v>
      </c>
      <c r="B120" s="13"/>
      <c r="C120"/>
      <c r="D120"/>
      <c r="F120"/>
    </row>
    <row r="121" spans="1:6" s="1" customFormat="1" x14ac:dyDescent="0.25">
      <c r="A121" s="6" t="s">
        <v>132</v>
      </c>
      <c r="B121" s="16">
        <f>(((((B115)+(B116))+(B117))+(B118))+(B119))+(B120)</f>
        <v>45174.39</v>
      </c>
      <c r="C121"/>
      <c r="D121"/>
      <c r="F121"/>
    </row>
    <row r="122" spans="1:6" s="1" customFormat="1" x14ac:dyDescent="0.25">
      <c r="A122" s="6" t="s">
        <v>133</v>
      </c>
      <c r="B122" s="13"/>
      <c r="C122"/>
      <c r="D122"/>
      <c r="F122"/>
    </row>
    <row r="123" spans="1:6" s="1" customFormat="1" x14ac:dyDescent="0.25">
      <c r="A123" s="6" t="s">
        <v>134</v>
      </c>
      <c r="B123" s="13"/>
      <c r="C123"/>
      <c r="D123"/>
      <c r="F123"/>
    </row>
    <row r="124" spans="1:6" s="1" customFormat="1" x14ac:dyDescent="0.25">
      <c r="A124" s="6" t="s">
        <v>135</v>
      </c>
      <c r="B124" s="13"/>
      <c r="C124"/>
      <c r="D124"/>
      <c r="F124"/>
    </row>
    <row r="125" spans="1:6" s="1" customFormat="1" x14ac:dyDescent="0.25">
      <c r="A125" s="6" t="s">
        <v>136</v>
      </c>
      <c r="B125" s="16">
        <f>((B122)+(B123))+(B124)</f>
        <v>0</v>
      </c>
      <c r="C125"/>
      <c r="D125"/>
      <c r="F125"/>
    </row>
    <row r="126" spans="1:6" s="1" customFormat="1" x14ac:dyDescent="0.25">
      <c r="A126" s="6" t="s">
        <v>137</v>
      </c>
      <c r="B126" s="13"/>
      <c r="C126"/>
      <c r="D126"/>
      <c r="F126"/>
    </row>
    <row r="127" spans="1:6" s="1" customFormat="1" x14ac:dyDescent="0.25">
      <c r="A127" s="6" t="s">
        <v>138</v>
      </c>
      <c r="B127" s="13"/>
      <c r="C127"/>
      <c r="D127"/>
      <c r="F127"/>
    </row>
    <row r="128" spans="1:6" s="1" customFormat="1" x14ac:dyDescent="0.25">
      <c r="A128" s="6" t="s">
        <v>139</v>
      </c>
      <c r="B128" s="13"/>
      <c r="C128"/>
      <c r="D128"/>
      <c r="F128"/>
    </row>
    <row r="129" spans="1:6" s="1" customFormat="1" x14ac:dyDescent="0.25">
      <c r="A129" s="6" t="s">
        <v>140</v>
      </c>
      <c r="B129" s="13"/>
      <c r="C129"/>
      <c r="D129"/>
      <c r="F129"/>
    </row>
    <row r="130" spans="1:6" x14ac:dyDescent="0.25">
      <c r="A130" s="6" t="s">
        <v>141</v>
      </c>
      <c r="B130" s="13"/>
    </row>
    <row r="131" spans="1:6" x14ac:dyDescent="0.25">
      <c r="A131" s="6" t="s">
        <v>142</v>
      </c>
      <c r="B131" s="16">
        <f>(((((((((((((B51)+(B72))+(B76))+(B81))+(B84))+(B97))+(B114))+(B121))+(B125))+(B126))+(B127))+(B128))+(B129))+(B130)</f>
        <v>338591.06</v>
      </c>
    </row>
    <row r="132" spans="1:6" x14ac:dyDescent="0.25">
      <c r="A132" s="6" t="s">
        <v>143</v>
      </c>
      <c r="B132" s="16">
        <f>B44-(B131)</f>
        <v>99079.640000000072</v>
      </c>
    </row>
    <row r="133" spans="1:6" x14ac:dyDescent="0.25">
      <c r="A133" s="6" t="s">
        <v>144</v>
      </c>
      <c r="B133" s="13"/>
    </row>
    <row r="134" spans="1:6" x14ac:dyDescent="0.25">
      <c r="A134" s="6" t="s">
        <v>145</v>
      </c>
      <c r="B134" s="13"/>
    </row>
    <row r="135" spans="1:6" x14ac:dyDescent="0.25">
      <c r="A135" s="6" t="s">
        <v>146</v>
      </c>
      <c r="B135" s="13"/>
    </row>
    <row r="136" spans="1:6" x14ac:dyDescent="0.25">
      <c r="A136" s="6" t="s">
        <v>147</v>
      </c>
      <c r="B136" s="16">
        <f>(B134)+(B135)</f>
        <v>0</v>
      </c>
    </row>
    <row r="137" spans="1:6" x14ac:dyDescent="0.25">
      <c r="A137" s="6" t="s">
        <v>148</v>
      </c>
      <c r="B137" s="13"/>
    </row>
    <row r="138" spans="1:6" x14ac:dyDescent="0.25">
      <c r="A138" s="6" t="s">
        <v>149</v>
      </c>
      <c r="B138" s="15">
        <f>283.41</f>
        <v>283.41000000000003</v>
      </c>
      <c r="D138" t="s">
        <v>150</v>
      </c>
      <c r="E138" s="1">
        <f>B141</f>
        <v>4767.91</v>
      </c>
    </row>
    <row r="139" spans="1:6" x14ac:dyDescent="0.25">
      <c r="A139" s="6" t="s">
        <v>151</v>
      </c>
      <c r="B139" s="15">
        <f>1875.5</f>
        <v>1875.5</v>
      </c>
      <c r="D139" t="s">
        <v>150</v>
      </c>
    </row>
    <row r="140" spans="1:6" x14ac:dyDescent="0.25">
      <c r="A140" s="6" t="s">
        <v>152</v>
      </c>
      <c r="B140" s="15">
        <f>2609</f>
        <v>2609</v>
      </c>
      <c r="D140" t="s">
        <v>150</v>
      </c>
    </row>
    <row r="141" spans="1:6" x14ac:dyDescent="0.25">
      <c r="A141" s="6" t="s">
        <v>153</v>
      </c>
      <c r="B141" s="16">
        <f>(((B137)+(B138))+(B139))+(B140)</f>
        <v>4767.91</v>
      </c>
    </row>
    <row r="142" spans="1:6" x14ac:dyDescent="0.25">
      <c r="A142" s="6"/>
      <c r="B142" s="16"/>
    </row>
    <row r="143" spans="1:6" x14ac:dyDescent="0.25">
      <c r="A143" s="6" t="s">
        <v>154</v>
      </c>
      <c r="B143" s="16">
        <f>(B136)+(B141)</f>
        <v>4767.91</v>
      </c>
    </row>
    <row r="144" spans="1:6" x14ac:dyDescent="0.25">
      <c r="A144" s="6" t="s">
        <v>155</v>
      </c>
      <c r="B144" s="13"/>
    </row>
    <row r="145" spans="1:6" x14ac:dyDescent="0.25">
      <c r="A145" s="6" t="s">
        <v>156</v>
      </c>
      <c r="B145" s="13">
        <v>105301</v>
      </c>
      <c r="D145" t="s">
        <v>10</v>
      </c>
    </row>
    <row r="146" spans="1:6" x14ac:dyDescent="0.25">
      <c r="A146" s="6" t="s">
        <v>157</v>
      </c>
      <c r="B146" s="13"/>
    </row>
    <row r="147" spans="1:6" s="1" customFormat="1" x14ac:dyDescent="0.25">
      <c r="A147" s="6" t="s">
        <v>158</v>
      </c>
      <c r="B147" s="15">
        <f>2000</f>
        <v>2000</v>
      </c>
      <c r="C147"/>
      <c r="D147" t="s">
        <v>88</v>
      </c>
      <c r="F147"/>
    </row>
    <row r="148" spans="1:6" s="1" customFormat="1" x14ac:dyDescent="0.25">
      <c r="A148" s="6" t="s">
        <v>159</v>
      </c>
      <c r="B148" s="16">
        <f>B145+B147</f>
        <v>107301</v>
      </c>
      <c r="C148"/>
      <c r="D148"/>
      <c r="F148"/>
    </row>
    <row r="149" spans="1:6" s="1" customFormat="1" x14ac:dyDescent="0.25">
      <c r="A149" s="6" t="s">
        <v>160</v>
      </c>
      <c r="B149" s="16">
        <f>(B143)-(B148)</f>
        <v>-102533.09</v>
      </c>
      <c r="C149"/>
      <c r="D149"/>
      <c r="F149"/>
    </row>
    <row r="150" spans="1:6" s="1" customFormat="1" x14ac:dyDescent="0.25">
      <c r="A150" s="6" t="s">
        <v>161</v>
      </c>
      <c r="B150" s="16">
        <f>(B132)+(B149)</f>
        <v>-3453.4499999999243</v>
      </c>
      <c r="C150"/>
      <c r="D150"/>
      <c r="F150"/>
    </row>
    <row r="151" spans="1:6" s="1" customFormat="1" x14ac:dyDescent="0.25">
      <c r="A151" s="6"/>
      <c r="B151" s="13"/>
      <c r="C151"/>
      <c r="D151"/>
      <c r="F151"/>
    </row>
    <row r="154" spans="1:6" s="1" customFormat="1" x14ac:dyDescent="0.25">
      <c r="A154" s="10"/>
      <c r="B154" s="9"/>
      <c r="C154"/>
      <c r="D154"/>
      <c r="F154"/>
    </row>
  </sheetData>
  <mergeCells count="4">
    <mergeCell ref="A3:B3"/>
    <mergeCell ref="A154:B154"/>
    <mergeCell ref="A1:H1"/>
    <mergeCell ref="A2:H2"/>
  </mergeCells>
  <pageMargins left="0.7" right="0.7" top="0.75" bottom="0.75" header="0.3" footer="0.3"/>
  <pageSetup paperSize="5" fitToHeight="6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of Act incl DDF and Adj</vt:lpstr>
      <vt:lpstr>'State of Act incl DDF and Adj'!Print_Area</vt:lpstr>
      <vt:lpstr>'State of Act incl DDF and Adj'!Print_Titles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Filippa Holec</dc:creator>
  <cp:lastModifiedBy>Filippa Holec</cp:lastModifiedBy>
  <cp:lastPrinted>2025-05-19T00:38:50Z</cp:lastPrinted>
  <dcterms:created xsi:type="dcterms:W3CDTF">2025-05-10T18:52:58Z</dcterms:created>
  <dcterms:modified xsi:type="dcterms:W3CDTF">2025-05-19T00:51:06Z</dcterms:modified>
</cp:coreProperties>
</file>